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Budsjett" sheetId="1" r:id="rId1"/>
    <sheet name="Aktiviteter" sheetId="2" r:id="rId2"/>
    <sheet name="Diverse" sheetId="3" r:id="rId3"/>
  </sheets>
  <definedNames/>
  <calcPr fullCalcOnLoad="1"/>
</workbook>
</file>

<file path=xl/sharedStrings.xml><?xml version="1.0" encoding="utf-8"?>
<sst xmlns="http://schemas.openxmlformats.org/spreadsheetml/2006/main" count="175" uniqueCount="122">
  <si>
    <t>Inntekter</t>
  </si>
  <si>
    <t>Utgifter</t>
  </si>
  <si>
    <t>Kontingent til gruppe</t>
  </si>
  <si>
    <t>Forsikring</t>
  </si>
  <si>
    <t>Tilskudd</t>
  </si>
  <si>
    <t>Aktivitetsmateriell</t>
  </si>
  <si>
    <t>Bergen kommune aktivitetstilskudd</t>
  </si>
  <si>
    <t>Koloni</t>
  </si>
  <si>
    <t>Bergen kommune andre tilskudd</t>
  </si>
  <si>
    <t>Flokk</t>
  </si>
  <si>
    <t>Tilskudd fra foreldregruppen</t>
  </si>
  <si>
    <t>Tropp</t>
  </si>
  <si>
    <t>Tilskudd fra andre</t>
  </si>
  <si>
    <t>Roverlag</t>
  </si>
  <si>
    <t>Sum tilskudd</t>
  </si>
  <si>
    <t>Gruppe</t>
  </si>
  <si>
    <t>Sum aktivitetsmateriell</t>
  </si>
  <si>
    <t>Inntektsbringende tiltak</t>
  </si>
  <si>
    <t>Arrangementer</t>
  </si>
  <si>
    <t>Div arr./ dugnad/ lotteri etc.</t>
  </si>
  <si>
    <t>Andre inntekter</t>
  </si>
  <si>
    <t>Sum inntektsbringende tiltak</t>
  </si>
  <si>
    <t>Sum arrangementsutgifter</t>
  </si>
  <si>
    <t>Diverse utgifter</t>
  </si>
  <si>
    <t>Kursutgifter</t>
  </si>
  <si>
    <t>Leirutstyr</t>
  </si>
  <si>
    <t>Diverse</t>
  </si>
  <si>
    <t>Sum inntekter på arrangementer</t>
  </si>
  <si>
    <t>Sum diverse utgifter</t>
  </si>
  <si>
    <t>Renteinntekter</t>
  </si>
  <si>
    <t>Sum utgifter</t>
  </si>
  <si>
    <t>Sum inntekter</t>
  </si>
  <si>
    <t>Overskudd / Underskudd</t>
  </si>
  <si>
    <t>Bønes speidergruppe</t>
  </si>
  <si>
    <t>Budsjettår:</t>
  </si>
  <si>
    <t>Kapital pr. 1/1</t>
  </si>
  <si>
    <t>Forventet kapital pr. 31/12</t>
  </si>
  <si>
    <t>Pris pr. deltaker</t>
  </si>
  <si>
    <t>Antall deltakere</t>
  </si>
  <si>
    <t>Kostnad pr. deltaker</t>
  </si>
  <si>
    <t>Inn-tekter</t>
  </si>
  <si>
    <t>Ut-   gifter</t>
  </si>
  <si>
    <t>Utflukter</t>
  </si>
  <si>
    <t>deltakere</t>
  </si>
  <si>
    <t>Avrunding</t>
  </si>
  <si>
    <t>Arrangementer koloni</t>
  </si>
  <si>
    <t>Overnattingstur</t>
  </si>
  <si>
    <t>Fanosmanøver</t>
  </si>
  <si>
    <t>patruljer</t>
  </si>
  <si>
    <t>Vårmanøver</t>
  </si>
  <si>
    <t>Bymanønver</t>
  </si>
  <si>
    <t>Arrangementer flokk</t>
  </si>
  <si>
    <t>Troppstur høst</t>
  </si>
  <si>
    <t xml:space="preserve">Fanosmanøver </t>
  </si>
  <si>
    <t xml:space="preserve">Fanahike </t>
  </si>
  <si>
    <t>Bymanøver</t>
  </si>
  <si>
    <t>Arrangementer tropp</t>
  </si>
  <si>
    <t>Diverse turer</t>
  </si>
  <si>
    <t>Diverse deltakeravgifter (RRRR, 5-kamp etc)</t>
  </si>
  <si>
    <t>Arrangementer, Roverlag</t>
  </si>
  <si>
    <t>Gruppearrangementer</t>
  </si>
  <si>
    <t>Landsleir / Kretsleir</t>
  </si>
  <si>
    <t>Leirkontingent</t>
  </si>
  <si>
    <t>Herav forhåndspåmeldt</t>
  </si>
  <si>
    <t>Fellesreise</t>
  </si>
  <si>
    <t>Fellesutgifter</t>
  </si>
  <si>
    <t>Avrund</t>
  </si>
  <si>
    <t>Sum kretsleir</t>
  </si>
  <si>
    <t>Gruppetur</t>
  </si>
  <si>
    <t>Beregning av kontingent</t>
  </si>
  <si>
    <t>Ordinær</t>
  </si>
  <si>
    <t>Sum</t>
  </si>
  <si>
    <t>Antall medlemmer</t>
  </si>
  <si>
    <t>Antall</t>
  </si>
  <si>
    <t>Kontingent NSF</t>
  </si>
  <si>
    <t>Lag</t>
  </si>
  <si>
    <t>Kontingent Bergen krets</t>
  </si>
  <si>
    <t>Ledere</t>
  </si>
  <si>
    <t>Kontingent gruppe</t>
  </si>
  <si>
    <t>Direkte</t>
  </si>
  <si>
    <t>Total kontingent</t>
  </si>
  <si>
    <t>pr. stk</t>
  </si>
  <si>
    <t>Fast</t>
  </si>
  <si>
    <t>sum</t>
  </si>
  <si>
    <t>Aktivitetsmateriell:</t>
  </si>
  <si>
    <t>Andre aktiviteter</t>
  </si>
  <si>
    <t>Totalt</t>
  </si>
  <si>
    <t>Leirutstyr etc</t>
  </si>
  <si>
    <t>Vedlikehold utstyr</t>
  </si>
  <si>
    <t>Diverse leirutstyr</t>
  </si>
  <si>
    <t>Nye telter (leir)</t>
  </si>
  <si>
    <t>Presenninger</t>
  </si>
  <si>
    <t>Sum leirutstyr</t>
  </si>
  <si>
    <t>Andel Bingo til samarbeidspartner</t>
  </si>
  <si>
    <t>Div arr./bingo/ dugnad/ lotteri etc.</t>
  </si>
  <si>
    <t>Aksjoner, NSF</t>
  </si>
  <si>
    <t>Kretsleir / Landsleir etc.</t>
  </si>
  <si>
    <t>Bankgebyrer</t>
  </si>
  <si>
    <t>Troppstur Vinter</t>
  </si>
  <si>
    <t>Ledersamlinger</t>
  </si>
  <si>
    <t>Aksjoner NSF</t>
  </si>
  <si>
    <t>Pinseleir el. tilsvarende</t>
  </si>
  <si>
    <t>Kontingent ledere</t>
  </si>
  <si>
    <t>17. Mai arrangement</t>
  </si>
  <si>
    <t>FP-kurs - internt høst</t>
  </si>
  <si>
    <t>Leder</t>
  </si>
  <si>
    <t>Internett</t>
  </si>
  <si>
    <t>Bretur, høst</t>
  </si>
  <si>
    <t>GPS / elektronisk kart</t>
  </si>
  <si>
    <t>Diverse utstyr</t>
  </si>
  <si>
    <t>Husleie / lager</t>
  </si>
  <si>
    <t>Automater</t>
  </si>
  <si>
    <t>Inntekt fra bingoaktivitet 2005, utbetalt i 2006</t>
  </si>
  <si>
    <t>Inntekt fra bingoaktivitet 2006, utbetalt i 2006</t>
  </si>
  <si>
    <t>Sommerleir</t>
  </si>
  <si>
    <t>Miljødag / dugnad</t>
  </si>
  <si>
    <t xml:space="preserve">Turdag </t>
  </si>
  <si>
    <t>Palmesøndagstreff</t>
  </si>
  <si>
    <t>Regnsk.  30/10-05</t>
  </si>
  <si>
    <t>Utenlandstur Roverlag</t>
  </si>
  <si>
    <t>Lederarrangement</t>
  </si>
  <si>
    <t>Profilering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</si>
</sst>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 \-#,##0\ &quot;kr&quot;"/>
    <numFmt numFmtId="173" formatCode="#,##0\ &quot;$&quot;;\ \-#,##0\ &quot;$&quot;"/>
    <numFmt numFmtId="174" formatCode="_ * #,##0.0_ ;_ * \-#,##0.0_ ;_ * &quot;-&quot;??_ ;_ @_ "/>
    <numFmt numFmtId="175" formatCode="_ * #,##0_ ;_ * \-#,##0_ ;_ * &quot;-&quot;??_ ;_ @_ "/>
    <numFmt numFmtId="176" formatCode="&quot;kr&quot;\ #,##0.00"/>
    <numFmt numFmtId="177" formatCode="&quot;kr&quot;\ #,##0.0"/>
    <numFmt numFmtId="178" formatCode="&quot;kr&quot;\ #,##0"/>
  </numFmts>
  <fonts count="11">
    <font>
      <sz val="12"/>
      <name val="Times New Roman"/>
      <family val="0"/>
    </font>
    <font>
      <b/>
      <sz val="10"/>
      <name val="NewCenturySchlbk"/>
      <family val="0"/>
    </font>
    <font>
      <b/>
      <sz val="12"/>
      <name val="NewCenturySchlbk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i/>
      <sz val="10"/>
      <name val="NewCenturySchlbk"/>
      <family val="0"/>
    </font>
    <font>
      <b/>
      <i/>
      <sz val="10"/>
      <name val="NewCenturySchlbk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3" fontId="0" fillId="0" borderId="0" xfId="0" applyNumberFormat="1" applyAlignment="1">
      <alignment wrapText="1"/>
    </xf>
    <xf numFmtId="38" fontId="1" fillId="0" borderId="0" xfId="18" applyNumberFormat="1" applyFont="1" applyAlignment="1">
      <alignment horizontal="center" wrapText="1"/>
    </xf>
    <xf numFmtId="38" fontId="1" fillId="0" borderId="0" xfId="18" applyNumberFormat="1" applyFont="1" applyAlignment="1">
      <alignment wrapText="1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8" fontId="0" fillId="0" borderId="0" xfId="18" applyNumberFormat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173" fontId="0" fillId="0" borderId="2" xfId="0" applyNumberFormat="1" applyBorder="1" applyAlignment="1">
      <alignment/>
    </xf>
    <xf numFmtId="38" fontId="0" fillId="0" borderId="2" xfId="18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38" fontId="0" fillId="0" borderId="0" xfId="18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1" borderId="5" xfId="0" applyFont="1" applyFill="1" applyBorder="1" applyAlignment="1">
      <alignment wrapText="1"/>
    </xf>
    <xf numFmtId="0" fontId="0" fillId="1" borderId="6" xfId="0" applyFont="1" applyFill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/>
    </xf>
    <xf numFmtId="38" fontId="0" fillId="0" borderId="9" xfId="18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3" xfId="0" applyFont="1" applyBorder="1" applyAlignment="1">
      <alignment/>
    </xf>
    <xf numFmtId="38" fontId="0" fillId="0" borderId="3" xfId="18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1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16" xfId="0" applyNumberFormat="1" applyFont="1" applyBorder="1" applyAlignment="1">
      <alignment horizontal="center" vertical="top" wrapText="1"/>
    </xf>
    <xf numFmtId="3" fontId="0" fillId="1" borderId="17" xfId="0" applyNumberFormat="1" applyFont="1" applyFill="1" applyBorder="1" applyAlignment="1">
      <alignment horizontal="center" wrapText="1"/>
    </xf>
    <xf numFmtId="3" fontId="0" fillId="1" borderId="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1" borderId="9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18" xfId="18" applyNumberFormat="1" applyFont="1" applyBorder="1" applyAlignment="1">
      <alignment horizontal="right"/>
    </xf>
    <xf numFmtId="0" fontId="0" fillId="1" borderId="2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8" fontId="0" fillId="0" borderId="28" xfId="18" applyNumberFormat="1" applyFont="1" applyFill="1" applyBorder="1" applyAlignment="1">
      <alignment/>
    </xf>
    <xf numFmtId="38" fontId="0" fillId="0" borderId="0" xfId="18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18" applyNumberFormat="1" applyFont="1" applyBorder="1" applyAlignment="1">
      <alignment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3" fontId="0" fillId="0" borderId="29" xfId="0" applyNumberFormat="1" applyFont="1" applyBorder="1" applyAlignment="1">
      <alignment/>
    </xf>
    <xf numFmtId="3" fontId="9" fillId="0" borderId="16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175" fontId="0" fillId="0" borderId="3" xfId="18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30" xfId="0" applyBorder="1" applyAlignment="1">
      <alignment/>
    </xf>
    <xf numFmtId="178" fontId="0" fillId="0" borderId="0" xfId="0" applyNumberFormat="1" applyAlignment="1">
      <alignment/>
    </xf>
    <xf numFmtId="3" fontId="0" fillId="0" borderId="16" xfId="18" applyNumberFormat="1" applyFont="1" applyBorder="1" applyAlignment="1">
      <alignment horizontal="center" wrapText="1"/>
    </xf>
    <xf numFmtId="3" fontId="0" fillId="0" borderId="3" xfId="18" applyNumberFormat="1" applyFont="1" applyBorder="1" applyAlignment="1">
      <alignment/>
    </xf>
    <xf numFmtId="3" fontId="10" fillId="0" borderId="3" xfId="18" applyNumberFormat="1" applyFont="1" applyBorder="1" applyAlignment="1">
      <alignment/>
    </xf>
    <xf numFmtId="3" fontId="0" fillId="0" borderId="8" xfId="18" applyNumberFormat="1" applyFont="1" applyBorder="1" applyAlignment="1">
      <alignment/>
    </xf>
    <xf numFmtId="3" fontId="0" fillId="0" borderId="11" xfId="18" applyNumberFormat="1" applyFont="1" applyBorder="1" applyAlignment="1">
      <alignment/>
    </xf>
    <xf numFmtId="3" fontId="0" fillId="0" borderId="13" xfId="18" applyNumberFormat="1" applyFont="1" applyBorder="1" applyAlignment="1">
      <alignment/>
    </xf>
    <xf numFmtId="3" fontId="0" fillId="0" borderId="16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2" xfId="0" applyNumberForma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101" zoomScaleNormal="101" workbookViewId="0" topLeftCell="A1">
      <selection activeCell="F6" sqref="F6"/>
    </sheetView>
  </sheetViews>
  <sheetFormatPr defaultColWidth="11.00390625" defaultRowHeight="15.75"/>
  <cols>
    <col min="1" max="1" width="31.375" style="23" customWidth="1"/>
    <col min="2" max="3" width="8.625" style="23" customWidth="1"/>
    <col min="4" max="4" width="8.75390625" style="23" customWidth="1"/>
    <col min="5" max="5" width="9.75390625" style="23" customWidth="1"/>
    <col min="6" max="6" width="8.625" style="23" bestFit="1" customWidth="1"/>
    <col min="7" max="8" width="5.25390625" style="23" customWidth="1"/>
    <col min="9" max="9" width="27.875" style="23" customWidth="1"/>
    <col min="10" max="10" width="8.625" style="23" customWidth="1"/>
    <col min="11" max="11" width="10.625" style="23" bestFit="1" customWidth="1"/>
    <col min="12" max="12" width="8.75390625" style="23" customWidth="1"/>
    <col min="13" max="13" width="10.625" style="23" customWidth="1"/>
    <col min="14" max="14" width="10.625" style="23" bestFit="1" customWidth="1"/>
    <col min="15" max="16384" width="9.00390625" style="23" customWidth="1"/>
  </cols>
  <sheetData>
    <row r="1" ht="15.75">
      <c r="A1" s="23" t="s">
        <v>33</v>
      </c>
    </row>
    <row r="2" spans="1:7" ht="16.5" thickBot="1">
      <c r="A2" s="23" t="s">
        <v>34</v>
      </c>
      <c r="C2" s="24">
        <v>2006</v>
      </c>
      <c r="D2" s="25"/>
      <c r="E2" s="25"/>
      <c r="F2" s="25"/>
      <c r="G2" s="25"/>
    </row>
    <row r="3" spans="1:14" ht="32.25" thickBot="1">
      <c r="A3" s="92" t="s">
        <v>0</v>
      </c>
      <c r="B3" s="88" t="str">
        <f>"Regnsk. "&amp;C2-2</f>
        <v>Regnsk. 2004</v>
      </c>
      <c r="C3" s="42" t="str">
        <f>"Budsjett
"&amp;TEXT($C$2-1,"0")</f>
        <v>Budsjett
2005</v>
      </c>
      <c r="D3" s="74" t="s">
        <v>118</v>
      </c>
      <c r="E3" s="42" t="str">
        <f>"Prognose
"&amp;TEXT($C$2-1,"0")</f>
        <v>Prognose
2005</v>
      </c>
      <c r="F3" s="42" t="str">
        <f>"Budsjett
"&amp;TEXT($C$2,"0")</f>
        <v>Budsjett
2006</v>
      </c>
      <c r="G3" s="43"/>
      <c r="H3" s="26"/>
      <c r="I3" s="93" t="s">
        <v>1</v>
      </c>
      <c r="J3" s="82" t="str">
        <f>"Regnsk. "&amp;C2-2</f>
        <v>Regnsk. 2004</v>
      </c>
      <c r="K3" s="42" t="str">
        <f>"Budsjett
"&amp;TEXT($C$2-1,"0")</f>
        <v>Budsjett
2005</v>
      </c>
      <c r="L3" s="74" t="s">
        <v>118</v>
      </c>
      <c r="M3" s="42" t="str">
        <f>"Prognose
"&amp;TEXT($C$2-1,"0")</f>
        <v>Prognose
2005</v>
      </c>
      <c r="N3" s="42" t="str">
        <f>"Budsjett
"&amp;TEXT($C$2,"0")</f>
        <v>Budsjett
2006</v>
      </c>
    </row>
    <row r="4" spans="1:14" ht="15.75">
      <c r="A4" s="22"/>
      <c r="B4" s="21"/>
      <c r="C4" s="21"/>
      <c r="D4" s="21"/>
      <c r="E4" s="21"/>
      <c r="F4" s="21"/>
      <c r="G4" s="44"/>
      <c r="H4" s="27"/>
      <c r="I4" s="4"/>
      <c r="J4" s="83"/>
      <c r="K4" s="21"/>
      <c r="L4" s="21"/>
      <c r="M4" s="21"/>
      <c r="N4" s="45"/>
    </row>
    <row r="5" spans="1:14" ht="15.75">
      <c r="A5" s="22" t="s">
        <v>2</v>
      </c>
      <c r="B5" s="21">
        <v>16440</v>
      </c>
      <c r="C5" s="21">
        <v>5250</v>
      </c>
      <c r="D5" s="21">
        <v>5250</v>
      </c>
      <c r="E5" s="77">
        <v>6000</v>
      </c>
      <c r="F5" s="21">
        <f>+Diverse!G7</f>
        <v>8000</v>
      </c>
      <c r="G5" s="44"/>
      <c r="H5" s="27"/>
      <c r="I5" s="4" t="s">
        <v>102</v>
      </c>
      <c r="J5" s="83">
        <v>4800</v>
      </c>
      <c r="K5" s="21">
        <v>5250</v>
      </c>
      <c r="L5" s="21">
        <v>5056</v>
      </c>
      <c r="M5" s="21">
        <v>5250</v>
      </c>
      <c r="N5" s="45">
        <f>-Diverse!I4-Diverse!I5</f>
        <v>5400</v>
      </c>
    </row>
    <row r="6" spans="1:14" ht="15.75">
      <c r="A6" s="22"/>
      <c r="B6" s="21"/>
      <c r="C6" s="21"/>
      <c r="D6" s="21"/>
      <c r="E6" s="21"/>
      <c r="F6" s="21"/>
      <c r="G6" s="44"/>
      <c r="H6" s="27"/>
      <c r="I6" s="4" t="s">
        <v>3</v>
      </c>
      <c r="J6" s="83">
        <v>2125</v>
      </c>
      <c r="K6" s="21">
        <v>2500</v>
      </c>
      <c r="L6" s="21">
        <v>2125</v>
      </c>
      <c r="M6" s="21">
        <v>2200</v>
      </c>
      <c r="N6" s="45">
        <v>2500</v>
      </c>
    </row>
    <row r="7" spans="1:14" ht="15.75">
      <c r="A7" s="22"/>
      <c r="B7" s="21"/>
      <c r="C7" s="21"/>
      <c r="D7" s="21"/>
      <c r="E7" s="21"/>
      <c r="F7" s="21"/>
      <c r="G7" s="44"/>
      <c r="H7" s="27"/>
      <c r="I7" s="90" t="s">
        <v>110</v>
      </c>
      <c r="J7" s="83">
        <v>0</v>
      </c>
      <c r="K7" s="21">
        <v>0</v>
      </c>
      <c r="L7" s="21">
        <v>0</v>
      </c>
      <c r="M7" s="21">
        <v>0</v>
      </c>
      <c r="N7" s="45">
        <v>10000</v>
      </c>
    </row>
    <row r="8" spans="1:14" ht="15.75">
      <c r="A8" s="76" t="s">
        <v>4</v>
      </c>
      <c r="B8" s="89"/>
      <c r="C8" s="21"/>
      <c r="D8" s="21"/>
      <c r="E8" s="21"/>
      <c r="F8" s="21"/>
      <c r="G8" s="44"/>
      <c r="H8" s="27"/>
      <c r="I8" s="4"/>
      <c r="J8" s="83"/>
      <c r="K8" s="21"/>
      <c r="L8" s="21"/>
      <c r="M8" s="21"/>
      <c r="N8" s="45"/>
    </row>
    <row r="9" spans="1:14" ht="15.75">
      <c r="A9" s="22" t="s">
        <v>6</v>
      </c>
      <c r="B9" s="21">
        <v>37706</v>
      </c>
      <c r="C9" s="21">
        <v>30000</v>
      </c>
      <c r="D9" s="21">
        <v>30200</v>
      </c>
      <c r="E9" s="21">
        <v>30200</v>
      </c>
      <c r="F9" s="21">
        <v>30000</v>
      </c>
      <c r="G9" s="44"/>
      <c r="H9" s="27"/>
      <c r="I9" s="75" t="s">
        <v>5</v>
      </c>
      <c r="J9" s="84"/>
      <c r="K9" s="21"/>
      <c r="L9" s="21"/>
      <c r="M9" s="21"/>
      <c r="N9" s="45"/>
    </row>
    <row r="10" spans="1:14" ht="15.75">
      <c r="A10" s="22" t="s">
        <v>8</v>
      </c>
      <c r="B10" s="21"/>
      <c r="C10" s="21"/>
      <c r="D10" s="21"/>
      <c r="E10" s="21"/>
      <c r="F10" s="21"/>
      <c r="G10" s="44"/>
      <c r="H10" s="27"/>
      <c r="I10" s="4" t="s">
        <v>7</v>
      </c>
      <c r="J10" s="83">
        <v>2047</v>
      </c>
      <c r="K10" s="21">
        <v>5000</v>
      </c>
      <c r="L10" s="21">
        <v>462</v>
      </c>
      <c r="M10" s="21">
        <v>1500</v>
      </c>
      <c r="N10" s="45">
        <f>+Diverse!E13</f>
        <v>3400</v>
      </c>
    </row>
    <row r="11" spans="1:14" ht="15.75">
      <c r="A11" s="22" t="s">
        <v>10</v>
      </c>
      <c r="B11" s="21"/>
      <c r="C11" s="21">
        <v>0</v>
      </c>
      <c r="D11" s="21"/>
      <c r="E11" s="21"/>
      <c r="F11" s="21">
        <v>0</v>
      </c>
      <c r="G11" s="44"/>
      <c r="H11" s="27"/>
      <c r="I11" s="4" t="s">
        <v>9</v>
      </c>
      <c r="J11" s="83">
        <v>10748</v>
      </c>
      <c r="K11" s="21">
        <v>7000</v>
      </c>
      <c r="L11" s="21">
        <v>3993</v>
      </c>
      <c r="M11" s="21">
        <v>7000</v>
      </c>
      <c r="N11" s="45">
        <f>+Diverse!E14</f>
        <v>6000</v>
      </c>
    </row>
    <row r="12" spans="1:14" ht="15.75">
      <c r="A12" s="28" t="s">
        <v>12</v>
      </c>
      <c r="B12" s="29">
        <v>7333</v>
      </c>
      <c r="C12" s="29">
        <v>5000</v>
      </c>
      <c r="D12" s="29">
        <v>15172</v>
      </c>
      <c r="E12" s="29">
        <v>16000</v>
      </c>
      <c r="F12" s="29">
        <v>10000</v>
      </c>
      <c r="G12" s="44"/>
      <c r="H12" s="27"/>
      <c r="I12" s="4" t="s">
        <v>11</v>
      </c>
      <c r="J12" s="83">
        <v>19698</v>
      </c>
      <c r="K12" s="21">
        <v>7000</v>
      </c>
      <c r="L12" s="21">
        <v>5927</v>
      </c>
      <c r="M12" s="21">
        <v>8000</v>
      </c>
      <c r="N12" s="45">
        <f>+Diverse!E15</f>
        <v>8500</v>
      </c>
    </row>
    <row r="13" spans="1:14" ht="15.75">
      <c r="A13" s="22" t="s">
        <v>14</v>
      </c>
      <c r="B13" s="21">
        <f>SUM(B9:B12)</f>
        <v>45039</v>
      </c>
      <c r="C13" s="21">
        <f>SUM(C9:C12)</f>
        <v>35000</v>
      </c>
      <c r="D13" s="21">
        <f>SUM(D9:D12)</f>
        <v>45372</v>
      </c>
      <c r="E13" s="21">
        <f>SUM(E9:E12)</f>
        <v>46200</v>
      </c>
      <c r="F13" s="21">
        <f>SUM(F9:F12)</f>
        <v>40000</v>
      </c>
      <c r="G13" s="44"/>
      <c r="H13" s="27"/>
      <c r="I13" s="4" t="s">
        <v>13</v>
      </c>
      <c r="J13" s="83">
        <v>562</v>
      </c>
      <c r="K13" s="21">
        <v>1000</v>
      </c>
      <c r="L13" s="21">
        <v>0</v>
      </c>
      <c r="M13" s="21">
        <v>1000</v>
      </c>
      <c r="N13" s="45">
        <f>+Diverse!E16</f>
        <v>1000</v>
      </c>
    </row>
    <row r="14" spans="1:14" ht="15.75">
      <c r="A14" s="22"/>
      <c r="B14" s="21"/>
      <c r="C14" s="21"/>
      <c r="D14" s="21"/>
      <c r="E14" s="21"/>
      <c r="F14" s="21"/>
      <c r="G14" s="44"/>
      <c r="H14" s="27"/>
      <c r="I14" s="30" t="s">
        <v>15</v>
      </c>
      <c r="J14" s="85">
        <v>3549</v>
      </c>
      <c r="K14" s="29">
        <v>5000</v>
      </c>
      <c r="L14" s="29">
        <v>1385</v>
      </c>
      <c r="M14" s="29">
        <v>2000</v>
      </c>
      <c r="N14" s="73">
        <f>+Diverse!E17</f>
        <v>5000</v>
      </c>
    </row>
    <row r="15" spans="1:14" ht="15.75">
      <c r="A15" s="22"/>
      <c r="B15" s="21"/>
      <c r="C15" s="21"/>
      <c r="D15" s="21"/>
      <c r="E15" s="21"/>
      <c r="F15" s="21"/>
      <c r="G15" s="44"/>
      <c r="H15" s="27"/>
      <c r="I15" s="4" t="s">
        <v>16</v>
      </c>
      <c r="J15" s="83">
        <f>SUM(J10:J14)</f>
        <v>36604</v>
      </c>
      <c r="K15" s="21">
        <f>SUM(K10:K14)</f>
        <v>25000</v>
      </c>
      <c r="L15" s="21">
        <f>SUM(L10:L14)</f>
        <v>11767</v>
      </c>
      <c r="M15" s="21">
        <f>SUM(M10:M14)</f>
        <v>19500</v>
      </c>
      <c r="N15" s="45">
        <f>SUM(N10:N14)</f>
        <v>23900</v>
      </c>
    </row>
    <row r="16" spans="1:14" ht="15.75">
      <c r="A16" s="76" t="s">
        <v>17</v>
      </c>
      <c r="B16" s="89"/>
      <c r="C16" s="21"/>
      <c r="D16" s="21"/>
      <c r="E16" s="21"/>
      <c r="F16" s="21"/>
      <c r="G16" s="44"/>
      <c r="H16" s="27"/>
      <c r="I16" s="4"/>
      <c r="J16" s="83"/>
      <c r="K16" s="21"/>
      <c r="L16" s="21"/>
      <c r="M16" s="21"/>
      <c r="N16" s="45"/>
    </row>
    <row r="17" spans="1:14" ht="15.75">
      <c r="A17" s="22" t="s">
        <v>94</v>
      </c>
      <c r="B17" s="21">
        <v>38566</v>
      </c>
      <c r="C17" s="21">
        <v>30000</v>
      </c>
      <c r="D17" s="21">
        <v>47420</v>
      </c>
      <c r="E17" s="21">
        <v>47500</v>
      </c>
      <c r="F17" s="21">
        <f>+Diverse!E28</f>
        <v>30000</v>
      </c>
      <c r="G17" s="44"/>
      <c r="H17" s="27"/>
      <c r="I17" s="75" t="s">
        <v>18</v>
      </c>
      <c r="J17" s="84"/>
      <c r="K17" s="21"/>
      <c r="L17" s="21"/>
      <c r="M17" s="21"/>
      <c r="N17" s="45"/>
    </row>
    <row r="18" spans="1:14" ht="15.75">
      <c r="A18" s="22" t="s">
        <v>103</v>
      </c>
      <c r="B18" s="21">
        <v>12240</v>
      </c>
      <c r="C18" s="21">
        <v>5000</v>
      </c>
      <c r="D18" s="21">
        <v>17681</v>
      </c>
      <c r="E18" s="21">
        <v>17700</v>
      </c>
      <c r="F18" s="21">
        <v>15000</v>
      </c>
      <c r="G18" s="44"/>
      <c r="H18" s="27"/>
      <c r="I18" s="4" t="s">
        <v>7</v>
      </c>
      <c r="J18" s="83">
        <v>1316</v>
      </c>
      <c r="K18" s="21">
        <v>2000</v>
      </c>
      <c r="L18" s="21">
        <v>967</v>
      </c>
      <c r="M18" s="21">
        <v>2000</v>
      </c>
      <c r="N18" s="45">
        <f>+Aktiviteter!I10</f>
        <v>2000</v>
      </c>
    </row>
    <row r="19" spans="1:14" ht="15.75">
      <c r="A19" s="22" t="s">
        <v>111</v>
      </c>
      <c r="B19" s="21">
        <v>196041</v>
      </c>
      <c r="C19" s="21">
        <v>0</v>
      </c>
      <c r="D19" s="21">
        <v>202204</v>
      </c>
      <c r="E19" s="21">
        <v>240000</v>
      </c>
      <c r="F19" s="21">
        <v>30000</v>
      </c>
      <c r="G19" s="44"/>
      <c r="H19" s="27"/>
      <c r="I19" s="4" t="s">
        <v>9</v>
      </c>
      <c r="J19" s="83">
        <v>7747</v>
      </c>
      <c r="K19" s="21">
        <v>5000</v>
      </c>
      <c r="L19" s="21">
        <v>1932</v>
      </c>
      <c r="M19" s="21">
        <v>3000</v>
      </c>
      <c r="N19" s="45">
        <f>+Aktiviteter!I20</f>
        <v>5000</v>
      </c>
    </row>
    <row r="20" spans="1:14" ht="15.75">
      <c r="A20" s="28" t="s">
        <v>20</v>
      </c>
      <c r="B20" s="29">
        <v>960</v>
      </c>
      <c r="C20" s="29">
        <v>1000</v>
      </c>
      <c r="D20" s="29">
        <v>9694</v>
      </c>
      <c r="E20" s="29">
        <v>10000</v>
      </c>
      <c r="F20" s="29">
        <v>5000</v>
      </c>
      <c r="G20" s="44"/>
      <c r="H20" s="27"/>
      <c r="I20" s="4" t="s">
        <v>11</v>
      </c>
      <c r="J20" s="83">
        <v>46171</v>
      </c>
      <c r="K20" s="21">
        <v>29500</v>
      </c>
      <c r="L20" s="21">
        <v>18685</v>
      </c>
      <c r="M20" s="21">
        <v>30000</v>
      </c>
      <c r="N20" s="45">
        <f>+Aktiviteter!I34</f>
        <v>64000</v>
      </c>
    </row>
    <row r="21" spans="1:14" ht="15.75">
      <c r="A21" s="22" t="s">
        <v>21</v>
      </c>
      <c r="B21" s="21">
        <f>SUM(B17:B20)</f>
        <v>247807</v>
      </c>
      <c r="C21" s="21">
        <f>SUM(C17:C20)</f>
        <v>36000</v>
      </c>
      <c r="D21" s="21">
        <f>SUM(D17:D20)</f>
        <v>276999</v>
      </c>
      <c r="E21" s="21">
        <f>SUM(E17:E20)</f>
        <v>315200</v>
      </c>
      <c r="F21" s="21">
        <f>SUM(F17:F20)</f>
        <v>80000</v>
      </c>
      <c r="G21" s="44"/>
      <c r="H21" s="27"/>
      <c r="I21" s="4" t="s">
        <v>13</v>
      </c>
      <c r="J21" s="83">
        <v>0</v>
      </c>
      <c r="K21" s="21">
        <v>2000</v>
      </c>
      <c r="L21" s="21">
        <v>91</v>
      </c>
      <c r="M21" s="21">
        <v>500</v>
      </c>
      <c r="N21" s="45">
        <f>+Aktiviteter!I41</f>
        <v>17000</v>
      </c>
    </row>
    <row r="22" spans="1:14" ht="15.75">
      <c r="A22" s="22"/>
      <c r="B22" s="21"/>
      <c r="C22" s="21"/>
      <c r="D22" s="21"/>
      <c r="E22" s="21"/>
      <c r="F22" s="21"/>
      <c r="G22" s="44"/>
      <c r="H22" s="27"/>
      <c r="I22" s="4" t="s">
        <v>15</v>
      </c>
      <c r="J22" s="83">
        <v>24427</v>
      </c>
      <c r="K22" s="21">
        <v>30000</v>
      </c>
      <c r="L22" s="21">
        <v>26132</v>
      </c>
      <c r="M22" s="21">
        <v>27500</v>
      </c>
      <c r="N22" s="45">
        <f>+Aktiviteter!I52</f>
        <v>40000</v>
      </c>
    </row>
    <row r="23" spans="1:14" ht="15.75">
      <c r="A23" s="22"/>
      <c r="B23" s="21"/>
      <c r="C23" s="21"/>
      <c r="D23" s="21"/>
      <c r="E23" s="21"/>
      <c r="F23" s="21"/>
      <c r="G23" s="44"/>
      <c r="H23" s="27"/>
      <c r="I23" s="4" t="s">
        <v>96</v>
      </c>
      <c r="J23" s="83">
        <v>0</v>
      </c>
      <c r="K23" s="21">
        <v>43000</v>
      </c>
      <c r="L23" s="21">
        <f>7627+65354</f>
        <v>72981</v>
      </c>
      <c r="M23" s="21">
        <v>73000</v>
      </c>
      <c r="N23" s="45">
        <f>+Aktiviteter!I60</f>
        <v>0</v>
      </c>
    </row>
    <row r="24" spans="1:14" ht="15.75">
      <c r="A24" s="76" t="s">
        <v>18</v>
      </c>
      <c r="B24" s="89"/>
      <c r="C24" s="21"/>
      <c r="D24" s="21"/>
      <c r="E24" s="21"/>
      <c r="F24" s="21"/>
      <c r="G24" s="44"/>
      <c r="H24" s="27"/>
      <c r="I24" s="30" t="s">
        <v>100</v>
      </c>
      <c r="J24" s="85">
        <v>2064</v>
      </c>
      <c r="K24" s="29">
        <v>0</v>
      </c>
      <c r="L24" s="29">
        <v>41294</v>
      </c>
      <c r="M24" s="29">
        <v>10700</v>
      </c>
      <c r="N24" s="46">
        <v>10000</v>
      </c>
    </row>
    <row r="25" spans="1:14" ht="15.75">
      <c r="A25" s="22" t="s">
        <v>7</v>
      </c>
      <c r="B25" s="21">
        <v>0</v>
      </c>
      <c r="C25" s="21">
        <v>0</v>
      </c>
      <c r="D25" s="21">
        <v>0</v>
      </c>
      <c r="E25" s="21">
        <v>0</v>
      </c>
      <c r="F25" s="21">
        <f>+Aktiviteter!G10</f>
        <v>0</v>
      </c>
      <c r="G25" s="44"/>
      <c r="H25" s="27"/>
      <c r="I25" s="4" t="s">
        <v>22</v>
      </c>
      <c r="J25" s="83">
        <f>SUM(J17:J24)</f>
        <v>81725</v>
      </c>
      <c r="K25" s="21">
        <f>SUM(K17:K24)</f>
        <v>111500</v>
      </c>
      <c r="L25" s="21">
        <f>SUM(L17:L24)</f>
        <v>162082</v>
      </c>
      <c r="M25" s="21">
        <f>SUM(M17:M24)</f>
        <v>146700</v>
      </c>
      <c r="N25" s="45">
        <f>SUM(N18:N24)</f>
        <v>138000</v>
      </c>
    </row>
    <row r="26" spans="1:14" ht="15.75">
      <c r="A26" s="22" t="s">
        <v>9</v>
      </c>
      <c r="B26" s="21">
        <v>450</v>
      </c>
      <c r="C26" s="21">
        <v>2000</v>
      </c>
      <c r="D26" s="21">
        <v>0</v>
      </c>
      <c r="E26" s="21">
        <v>0</v>
      </c>
      <c r="F26" s="21">
        <f>+Aktiviteter!G20</f>
        <v>0</v>
      </c>
      <c r="G26" s="44"/>
      <c r="H26" s="27"/>
      <c r="I26" s="4"/>
      <c r="J26" s="83"/>
      <c r="K26" s="21"/>
      <c r="L26" s="21"/>
      <c r="M26" s="21"/>
      <c r="N26" s="45"/>
    </row>
    <row r="27" spans="1:14" ht="15.75">
      <c r="A27" s="22" t="s">
        <v>11</v>
      </c>
      <c r="B27" s="21">
        <v>22355</v>
      </c>
      <c r="C27" s="21">
        <v>21000</v>
      </c>
      <c r="D27" s="21">
        <v>7800</v>
      </c>
      <c r="E27" s="21">
        <v>15000</v>
      </c>
      <c r="F27" s="21">
        <f>+Aktiviteter!G34</f>
        <v>45000</v>
      </c>
      <c r="G27" s="44"/>
      <c r="H27" s="27"/>
      <c r="I27" s="75" t="s">
        <v>23</v>
      </c>
      <c r="J27" s="84"/>
      <c r="K27" s="21"/>
      <c r="L27" s="21"/>
      <c r="M27" s="21"/>
      <c r="N27" s="45"/>
    </row>
    <row r="28" spans="1:14" ht="15.75">
      <c r="A28" s="22" t="s">
        <v>13</v>
      </c>
      <c r="B28" s="21">
        <v>0</v>
      </c>
      <c r="C28" s="21">
        <v>1000</v>
      </c>
      <c r="D28" s="21">
        <v>0</v>
      </c>
      <c r="E28" s="21">
        <v>0</v>
      </c>
      <c r="F28" s="21">
        <f>+Aktiviteter!G41</f>
        <v>7000</v>
      </c>
      <c r="G28" s="44"/>
      <c r="H28" s="27"/>
      <c r="I28" s="4" t="s">
        <v>24</v>
      </c>
      <c r="J28" s="83">
        <v>8858</v>
      </c>
      <c r="K28" s="21">
        <v>4000</v>
      </c>
      <c r="L28" s="21">
        <v>300</v>
      </c>
      <c r="M28" s="21">
        <v>1000</v>
      </c>
      <c r="N28" s="45">
        <v>4000</v>
      </c>
    </row>
    <row r="29" spans="1:14" ht="15.75">
      <c r="A29" s="22" t="s">
        <v>15</v>
      </c>
      <c r="B29" s="21">
        <v>6019</v>
      </c>
      <c r="C29" s="21">
        <v>6000</v>
      </c>
      <c r="D29" s="21">
        <v>0</v>
      </c>
      <c r="E29" s="21">
        <v>0</v>
      </c>
      <c r="F29" s="21">
        <f>+Aktiviteter!G52</f>
        <v>0</v>
      </c>
      <c r="G29" s="44"/>
      <c r="H29" s="27"/>
      <c r="I29" s="4" t="s">
        <v>25</v>
      </c>
      <c r="J29" s="83">
        <v>17731</v>
      </c>
      <c r="K29" s="21">
        <v>25000</v>
      </c>
      <c r="L29" s="21">
        <v>20322</v>
      </c>
      <c r="M29" s="21">
        <v>21000</v>
      </c>
      <c r="N29" s="45">
        <f>+Diverse!C41</f>
        <v>14000</v>
      </c>
    </row>
    <row r="30" spans="1:14" ht="15.75">
      <c r="A30" s="22" t="s">
        <v>96</v>
      </c>
      <c r="B30" s="21"/>
      <c r="C30" s="21">
        <v>36000</v>
      </c>
      <c r="D30" s="21">
        <v>30450</v>
      </c>
      <c r="E30" s="21">
        <v>30500</v>
      </c>
      <c r="F30" s="21">
        <f>+Aktiviteter!G60</f>
        <v>0</v>
      </c>
      <c r="G30" s="44"/>
      <c r="H30" s="27"/>
      <c r="I30" s="4" t="s">
        <v>106</v>
      </c>
      <c r="J30" s="83">
        <v>0</v>
      </c>
      <c r="K30" s="31">
        <v>2500</v>
      </c>
      <c r="L30" s="31">
        <v>1571</v>
      </c>
      <c r="M30" s="21">
        <v>1600</v>
      </c>
      <c r="N30" s="45">
        <v>2000</v>
      </c>
    </row>
    <row r="31" spans="1:14" ht="15.75">
      <c r="A31" s="28" t="s">
        <v>95</v>
      </c>
      <c r="B31" s="29">
        <v>2064</v>
      </c>
      <c r="C31" s="29"/>
      <c r="D31" s="29">
        <v>10667</v>
      </c>
      <c r="E31" s="29">
        <v>10700</v>
      </c>
      <c r="F31" s="29">
        <v>10000</v>
      </c>
      <c r="G31" s="44"/>
      <c r="H31" s="27"/>
      <c r="I31" s="90" t="s">
        <v>121</v>
      </c>
      <c r="J31" s="83"/>
      <c r="K31" s="31"/>
      <c r="L31" s="31"/>
      <c r="M31" s="21"/>
      <c r="N31" s="45">
        <v>10000</v>
      </c>
    </row>
    <row r="32" spans="1:14" ht="15.75">
      <c r="A32" s="22" t="s">
        <v>27</v>
      </c>
      <c r="B32" s="21">
        <f>SUM(B25:B31)</f>
        <v>30888</v>
      </c>
      <c r="C32" s="21">
        <f>SUM(C25:C31)</f>
        <v>66000</v>
      </c>
      <c r="D32" s="21">
        <f>SUM(D25:D31)</f>
        <v>48917</v>
      </c>
      <c r="E32" s="21">
        <f>SUM(E25:E31)</f>
        <v>56200</v>
      </c>
      <c r="F32" s="21">
        <f>SUM(F25:F31)</f>
        <v>62000</v>
      </c>
      <c r="G32" s="44"/>
      <c r="H32" s="27"/>
      <c r="I32" s="4" t="s">
        <v>97</v>
      </c>
      <c r="J32" s="83">
        <v>142</v>
      </c>
      <c r="K32" s="31">
        <v>500</v>
      </c>
      <c r="L32" s="31">
        <v>125</v>
      </c>
      <c r="M32" s="21">
        <v>200</v>
      </c>
      <c r="N32" s="45">
        <v>200</v>
      </c>
    </row>
    <row r="33" spans="1:14" ht="15.75">
      <c r="A33" s="22"/>
      <c r="B33" s="21"/>
      <c r="C33" s="21"/>
      <c r="D33" s="21"/>
      <c r="E33" s="21"/>
      <c r="F33" s="21"/>
      <c r="G33" s="44"/>
      <c r="H33" s="27"/>
      <c r="I33" s="30" t="s">
        <v>26</v>
      </c>
      <c r="J33" s="85">
        <f>11368+3046</f>
        <v>14414</v>
      </c>
      <c r="K33" s="29">
        <v>2000</v>
      </c>
      <c r="L33" s="29">
        <f>25465+7569</f>
        <v>33034</v>
      </c>
      <c r="M33" s="29">
        <v>35000</v>
      </c>
      <c r="N33" s="46">
        <v>10000</v>
      </c>
    </row>
    <row r="34" spans="1:14" ht="15.75">
      <c r="A34" s="22" t="s">
        <v>29</v>
      </c>
      <c r="B34" s="21">
        <v>1025</v>
      </c>
      <c r="C34" s="21">
        <v>2000</v>
      </c>
      <c r="D34" s="21">
        <v>0</v>
      </c>
      <c r="E34" s="21">
        <v>2000</v>
      </c>
      <c r="F34" s="21">
        <v>2000</v>
      </c>
      <c r="G34" s="44"/>
      <c r="H34" s="27"/>
      <c r="I34" s="4" t="s">
        <v>28</v>
      </c>
      <c r="J34" s="83">
        <f>SUM(J28:J33)</f>
        <v>41145</v>
      </c>
      <c r="K34" s="21">
        <f>SUM(K28:K33)</f>
        <v>34000</v>
      </c>
      <c r="L34" s="21">
        <f>SUM(L28:L33)</f>
        <v>55352</v>
      </c>
      <c r="M34" s="21">
        <f>SUM(M28:M33)</f>
        <v>58800</v>
      </c>
      <c r="N34" s="45">
        <f>SUM(N28:N33)</f>
        <v>40200</v>
      </c>
    </row>
    <row r="35" spans="1:14" ht="15.75">
      <c r="A35" s="22"/>
      <c r="B35" s="21"/>
      <c r="C35" s="21"/>
      <c r="D35" s="21"/>
      <c r="E35" s="21"/>
      <c r="F35" s="21"/>
      <c r="G35" s="44"/>
      <c r="H35" s="27"/>
      <c r="I35" s="4"/>
      <c r="J35" s="83"/>
      <c r="K35" s="21"/>
      <c r="L35" s="21"/>
      <c r="M35" s="21"/>
      <c r="N35" s="45"/>
    </row>
    <row r="36" spans="1:14" ht="15.75">
      <c r="A36" s="22" t="s">
        <v>31</v>
      </c>
      <c r="B36" s="21">
        <f>+B34+B32+B21+B13+B5</f>
        <v>341199</v>
      </c>
      <c r="C36" s="21">
        <f>+C34+C32+C21+C13+C5</f>
        <v>144250</v>
      </c>
      <c r="D36" s="21">
        <f>+D34+D32+D21+D13+D5</f>
        <v>376538</v>
      </c>
      <c r="E36" s="21">
        <f>+E34+E32+E21+E13+E5</f>
        <v>425600</v>
      </c>
      <c r="F36" s="21">
        <f>+F34+F32+F21+F13+F5</f>
        <v>192000</v>
      </c>
      <c r="G36" s="44"/>
      <c r="H36" s="27"/>
      <c r="I36" s="4" t="s">
        <v>30</v>
      </c>
      <c r="J36" s="21">
        <f>+J34+J25+J15+J7+J6+J5</f>
        <v>166399</v>
      </c>
      <c r="K36" s="21">
        <f>+K34+K25+K15+K7+K6+K5</f>
        <v>178250</v>
      </c>
      <c r="L36" s="21">
        <f>+L34+L25+L15+L7+L6+L5</f>
        <v>236382</v>
      </c>
      <c r="M36" s="21">
        <f>+M34+M25+M15+M7+M6+M5</f>
        <v>232450</v>
      </c>
      <c r="N36" s="21">
        <f>+N34+N25+N15+N7+N6+N5</f>
        <v>220000</v>
      </c>
    </row>
    <row r="37" spans="1:14" ht="15.75">
      <c r="A37" s="22"/>
      <c r="B37" s="21"/>
      <c r="C37" s="21"/>
      <c r="D37" s="21"/>
      <c r="E37" s="21"/>
      <c r="F37" s="21"/>
      <c r="G37" s="47"/>
      <c r="H37" s="27"/>
      <c r="I37" s="4"/>
      <c r="J37" s="83"/>
      <c r="K37" s="21"/>
      <c r="L37" s="21"/>
      <c r="M37" s="21"/>
      <c r="N37" s="45"/>
    </row>
    <row r="38" spans="1:14" ht="16.5" thickBot="1">
      <c r="A38" s="22"/>
      <c r="B38" s="21"/>
      <c r="C38" s="21"/>
      <c r="D38" s="21"/>
      <c r="E38" s="21"/>
      <c r="F38" s="21"/>
      <c r="G38" s="47"/>
      <c r="H38" s="27"/>
      <c r="I38" s="32" t="s">
        <v>32</v>
      </c>
      <c r="J38" s="86">
        <f>+B36-J36</f>
        <v>174800</v>
      </c>
      <c r="K38" s="33">
        <f>+C36-K36</f>
        <v>-34000</v>
      </c>
      <c r="L38" s="33">
        <f>+D36-L36</f>
        <v>140156</v>
      </c>
      <c r="M38" s="33">
        <f>+E36-M36</f>
        <v>193150</v>
      </c>
      <c r="N38" s="48">
        <f>+F36-N36</f>
        <v>-28000</v>
      </c>
    </row>
    <row r="39" spans="1:14" ht="16.5" thickTop="1">
      <c r="A39" s="22"/>
      <c r="B39" s="21"/>
      <c r="C39" s="21"/>
      <c r="D39" s="21"/>
      <c r="E39" s="21"/>
      <c r="F39" s="21"/>
      <c r="G39" s="47"/>
      <c r="H39" s="27"/>
      <c r="I39" s="4"/>
      <c r="J39" s="83"/>
      <c r="K39" s="34"/>
      <c r="L39" s="34"/>
      <c r="M39" s="34"/>
      <c r="N39" s="49"/>
    </row>
    <row r="40" spans="1:14" ht="15.75">
      <c r="A40" s="22"/>
      <c r="B40" s="21"/>
      <c r="C40" s="21"/>
      <c r="D40" s="21"/>
      <c r="E40" s="21"/>
      <c r="F40" s="21"/>
      <c r="G40" s="47"/>
      <c r="H40" s="27"/>
      <c r="I40" s="4" t="s">
        <v>35</v>
      </c>
      <c r="J40" s="83"/>
      <c r="K40" s="34"/>
      <c r="L40" s="35"/>
      <c r="M40" s="78">
        <f>+J42</f>
        <v>321734</v>
      </c>
      <c r="N40" s="50">
        <f>+M42</f>
        <v>514884</v>
      </c>
    </row>
    <row r="41" spans="1:14" ht="15.75">
      <c r="A41" s="22"/>
      <c r="B41" s="21"/>
      <c r="C41" s="21"/>
      <c r="D41" s="21"/>
      <c r="E41" s="21"/>
      <c r="F41" s="21"/>
      <c r="G41" s="47"/>
      <c r="H41" s="27"/>
      <c r="I41" s="4"/>
      <c r="J41" s="83"/>
      <c r="K41" s="34"/>
      <c r="L41" s="21"/>
      <c r="M41" s="34"/>
      <c r="N41" s="45"/>
    </row>
    <row r="42" spans="1:14" ht="16.5" thickBot="1">
      <c r="A42" s="36"/>
      <c r="B42" s="40"/>
      <c r="C42" s="37"/>
      <c r="D42" s="37"/>
      <c r="E42" s="37"/>
      <c r="F42" s="37"/>
      <c r="G42" s="51"/>
      <c r="H42" s="38"/>
      <c r="I42" s="39" t="s">
        <v>36</v>
      </c>
      <c r="J42" s="87">
        <v>321734</v>
      </c>
      <c r="K42" s="40"/>
      <c r="L42" s="40"/>
      <c r="M42" s="79">
        <f>+M38+M40</f>
        <v>514884</v>
      </c>
      <c r="N42" s="52">
        <f>SUM(N38:N41)</f>
        <v>486884</v>
      </c>
    </row>
    <row r="45" spans="2:13" ht="15.75">
      <c r="B45" s="25">
        <f>+B36-B34</f>
        <v>340174</v>
      </c>
      <c r="C45" s="25">
        <f>+C36-C34</f>
        <v>142250</v>
      </c>
      <c r="D45" s="25">
        <f>+D36-D34</f>
        <v>376538</v>
      </c>
      <c r="E45" s="25">
        <f>+E36-E34</f>
        <v>423600</v>
      </c>
      <c r="J45" s="25">
        <f>+J36-J32</f>
        <v>166257</v>
      </c>
      <c r="K45" s="25">
        <f>+K36-K32</f>
        <v>177750</v>
      </c>
      <c r="L45" s="25">
        <f>+L36-L32</f>
        <v>236257</v>
      </c>
      <c r="M45" s="25">
        <f>+M36-M32</f>
        <v>232250</v>
      </c>
    </row>
    <row r="46" ht="15.75">
      <c r="N46" s="25">
        <f>+N33+N30+N29+N28+N24+N23+N22+N21+N20+N19+N18+N14+N13+N12+N11+N10+N6</f>
        <v>194400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0" sqref="A50"/>
    </sheetView>
  </sheetViews>
  <sheetFormatPr defaultColWidth="11.00390625" defaultRowHeight="15.75"/>
  <cols>
    <col min="1" max="1" width="36.00390625" style="0" bestFit="1" customWidth="1"/>
    <col min="2" max="2" width="7.75390625" style="0" bestFit="1" customWidth="1"/>
    <col min="3" max="3" width="8.00390625" style="0" bestFit="1" customWidth="1"/>
    <col min="4" max="4" width="7.875" style="0" bestFit="1" customWidth="1"/>
    <col min="6" max="6" width="9.00390625" style="0" customWidth="1"/>
    <col min="7" max="7" width="7.625" style="0" customWidth="1"/>
    <col min="8" max="8" width="9.00390625" style="0" customWidth="1"/>
    <col min="9" max="9" width="8.625" style="0" customWidth="1"/>
    <col min="10" max="16384" width="9.00390625" style="0" customWidth="1"/>
  </cols>
  <sheetData>
    <row r="2" spans="1:9" ht="33" customHeight="1">
      <c r="A2" s="5" t="s">
        <v>18</v>
      </c>
      <c r="B2" s="6" t="s">
        <v>37</v>
      </c>
      <c r="C2" s="7" t="s">
        <v>38</v>
      </c>
      <c r="D2" s="7"/>
      <c r="E2" s="8" t="s">
        <v>39</v>
      </c>
      <c r="F2" s="6"/>
      <c r="G2" s="9" t="s">
        <v>40</v>
      </c>
      <c r="H2" s="10"/>
      <c r="I2" s="9" t="s">
        <v>41</v>
      </c>
    </row>
    <row r="3" spans="2:9" ht="15.75">
      <c r="B3" s="11"/>
      <c r="E3" s="12"/>
      <c r="F3" s="11"/>
      <c r="G3" s="13"/>
      <c r="H3" s="13"/>
      <c r="I3" s="13"/>
    </row>
    <row r="4" spans="1:9" ht="15.75">
      <c r="A4" s="1" t="s">
        <v>7</v>
      </c>
      <c r="B4" s="11"/>
      <c r="E4" s="12"/>
      <c r="F4" s="11"/>
      <c r="G4" s="13"/>
      <c r="H4" s="13"/>
      <c r="I4" s="13"/>
    </row>
    <row r="5" spans="1:9" ht="15.75">
      <c r="A5" t="s">
        <v>42</v>
      </c>
      <c r="B5" s="11">
        <v>0</v>
      </c>
      <c r="C5">
        <v>20</v>
      </c>
      <c r="D5" t="s">
        <v>43</v>
      </c>
      <c r="E5" s="11">
        <v>50</v>
      </c>
      <c r="F5" s="11"/>
      <c r="G5" s="13">
        <f>+B5*C5</f>
        <v>0</v>
      </c>
      <c r="H5" s="13"/>
      <c r="I5" s="13">
        <f>+E5*C5</f>
        <v>1000</v>
      </c>
    </row>
    <row r="6" spans="1:9" ht="15.75">
      <c r="A6" t="s">
        <v>46</v>
      </c>
      <c r="B6" s="11">
        <v>0</v>
      </c>
      <c r="C6">
        <v>13</v>
      </c>
      <c r="E6" s="11">
        <v>75</v>
      </c>
      <c r="F6" s="11"/>
      <c r="G6" s="13">
        <f>+B6*C6</f>
        <v>0</v>
      </c>
      <c r="H6" s="13"/>
      <c r="I6" s="13">
        <f>+E6*C6</f>
        <v>975</v>
      </c>
    </row>
    <row r="7" spans="2:9" ht="15.75">
      <c r="B7" s="11"/>
      <c r="E7" s="11"/>
      <c r="F7" s="11"/>
      <c r="G7" s="13"/>
      <c r="H7" s="13"/>
      <c r="I7" s="13"/>
    </row>
    <row r="8" spans="2:9" ht="15.75">
      <c r="B8" s="11"/>
      <c r="E8" s="11"/>
      <c r="F8" s="11"/>
      <c r="G8" s="13"/>
      <c r="H8" s="13"/>
      <c r="I8" s="13"/>
    </row>
    <row r="9" spans="1:9" ht="15.75">
      <c r="A9" t="s">
        <v>44</v>
      </c>
      <c r="B9" s="11"/>
      <c r="E9" s="12"/>
      <c r="F9" s="11"/>
      <c r="G9" s="13">
        <f>G10-SUM(G5:G8)</f>
        <v>0</v>
      </c>
      <c r="H9" s="13"/>
      <c r="I9" s="13">
        <f>I10-SUM(I5:I8)</f>
        <v>25</v>
      </c>
    </row>
    <row r="10" spans="1:9" ht="15.75">
      <c r="A10" s="14" t="s">
        <v>45</v>
      </c>
      <c r="B10" s="15"/>
      <c r="C10" s="14"/>
      <c r="D10" s="14"/>
      <c r="E10" s="16"/>
      <c r="F10" s="15"/>
      <c r="G10" s="17">
        <f>ROUNDUP(SUM(G5:G8),-2)</f>
        <v>0</v>
      </c>
      <c r="H10" s="17"/>
      <c r="I10" s="17">
        <f>ROUNDUP(SUM(I5:I8),-2)</f>
        <v>2000</v>
      </c>
    </row>
    <row r="11" spans="1:9" ht="15.75">
      <c r="A11" s="2"/>
      <c r="B11" s="18"/>
      <c r="C11" s="2"/>
      <c r="D11" s="2"/>
      <c r="E11" s="19"/>
      <c r="F11" s="18"/>
      <c r="G11" s="20"/>
      <c r="H11" s="20"/>
      <c r="I11" s="20"/>
    </row>
    <row r="12" spans="1:9" ht="15.75">
      <c r="A12" s="1" t="s">
        <v>9</v>
      </c>
      <c r="B12" s="11"/>
      <c r="E12" s="12"/>
      <c r="F12" s="11"/>
      <c r="G12" s="13"/>
      <c r="H12" s="13"/>
      <c r="I12" s="13"/>
    </row>
    <row r="13" spans="1:9" ht="15.75">
      <c r="A13" t="s">
        <v>46</v>
      </c>
      <c r="B13" s="11">
        <v>0</v>
      </c>
      <c r="C13">
        <v>20</v>
      </c>
      <c r="D13" t="s">
        <v>43</v>
      </c>
      <c r="E13" s="11">
        <v>150</v>
      </c>
      <c r="F13" s="11"/>
      <c r="G13" s="13">
        <f>+B13*C13</f>
        <v>0</v>
      </c>
      <c r="H13" s="13"/>
      <c r="I13" s="13">
        <f>+E13*C13</f>
        <v>3000</v>
      </c>
    </row>
    <row r="14" spans="1:9" ht="15.75">
      <c r="A14" t="s">
        <v>47</v>
      </c>
      <c r="B14" s="11"/>
      <c r="C14">
        <v>2</v>
      </c>
      <c r="D14" t="s">
        <v>48</v>
      </c>
      <c r="E14" s="11">
        <v>100</v>
      </c>
      <c r="F14" s="11"/>
      <c r="G14" s="13">
        <f>+B14*C14</f>
        <v>0</v>
      </c>
      <c r="H14" s="13"/>
      <c r="I14" s="13">
        <f>+E14*C14</f>
        <v>200</v>
      </c>
    </row>
    <row r="15" spans="1:9" ht="15.75">
      <c r="A15" t="s">
        <v>49</v>
      </c>
      <c r="B15" s="11"/>
      <c r="C15">
        <v>2</v>
      </c>
      <c r="D15" t="s">
        <v>48</v>
      </c>
      <c r="E15" s="11">
        <v>150</v>
      </c>
      <c r="F15" s="11"/>
      <c r="G15" s="13">
        <f>+B15*C15</f>
        <v>0</v>
      </c>
      <c r="H15" s="13"/>
      <c r="I15" s="13">
        <f>+E15*C15</f>
        <v>300</v>
      </c>
    </row>
    <row r="16" spans="1:9" ht="15.75">
      <c r="A16" t="s">
        <v>50</v>
      </c>
      <c r="B16" s="11"/>
      <c r="C16">
        <v>2</v>
      </c>
      <c r="D16" t="s">
        <v>48</v>
      </c>
      <c r="E16" s="11">
        <v>150</v>
      </c>
      <c r="F16" s="11"/>
      <c r="G16" s="13">
        <f>+B16*C16</f>
        <v>0</v>
      </c>
      <c r="H16" s="13"/>
      <c r="I16" s="13">
        <f>+E16*C16</f>
        <v>300</v>
      </c>
    </row>
    <row r="17" spans="1:9" ht="15.75">
      <c r="A17" t="s">
        <v>57</v>
      </c>
      <c r="B17" s="11"/>
      <c r="E17" s="11"/>
      <c r="F17" s="11"/>
      <c r="G17" s="13">
        <v>0</v>
      </c>
      <c r="H17" s="13"/>
      <c r="I17" s="13">
        <v>1000</v>
      </c>
    </row>
    <row r="18" spans="2:9" ht="15.75">
      <c r="B18" s="11"/>
      <c r="E18" s="11"/>
      <c r="F18" s="11"/>
      <c r="G18" s="13"/>
      <c r="H18" s="13"/>
      <c r="I18" s="13"/>
    </row>
    <row r="19" spans="1:9" ht="15.75">
      <c r="A19" t="s">
        <v>44</v>
      </c>
      <c r="B19" s="11"/>
      <c r="E19" s="12"/>
      <c r="F19" s="11"/>
      <c r="G19" s="13">
        <f>G20-SUM(G13:G16)</f>
        <v>0</v>
      </c>
      <c r="H19" s="13"/>
      <c r="I19" s="13">
        <f>I20-SUM(I13:I18)</f>
        <v>200</v>
      </c>
    </row>
    <row r="20" spans="1:9" ht="15.75">
      <c r="A20" s="14" t="s">
        <v>51</v>
      </c>
      <c r="B20" s="15"/>
      <c r="C20" s="14"/>
      <c r="D20" s="14"/>
      <c r="E20" s="16"/>
      <c r="F20" s="15"/>
      <c r="G20" s="17">
        <f>ROUNDUP(SUM(G13:G16),-2)</f>
        <v>0</v>
      </c>
      <c r="H20" s="17"/>
      <c r="I20" s="17">
        <f>ROUNDUP(SUM(I13:I18),-3)</f>
        <v>5000</v>
      </c>
    </row>
    <row r="21" spans="2:9" ht="15.75">
      <c r="B21" s="11"/>
      <c r="E21" s="12"/>
      <c r="F21" s="11"/>
      <c r="G21" s="13"/>
      <c r="H21" s="13"/>
      <c r="I21" s="13"/>
    </row>
    <row r="22" spans="1:9" ht="15.75">
      <c r="A22" s="1" t="s">
        <v>11</v>
      </c>
      <c r="B22" s="11"/>
      <c r="E22" s="12"/>
      <c r="F22" s="11"/>
      <c r="G22" s="13"/>
      <c r="H22" s="13"/>
      <c r="I22" s="13"/>
    </row>
    <row r="23" spans="1:9" ht="15.75">
      <c r="A23" t="s">
        <v>98</v>
      </c>
      <c r="B23" s="11">
        <v>300</v>
      </c>
      <c r="C23">
        <v>15</v>
      </c>
      <c r="D23" t="s">
        <v>43</v>
      </c>
      <c r="E23" s="11">
        <v>500</v>
      </c>
      <c r="F23" s="11"/>
      <c r="G23" s="13">
        <f aca="true" t="shared" si="0" ref="G23:G32">+B23*C23</f>
        <v>4500</v>
      </c>
      <c r="H23" s="13"/>
      <c r="I23" s="13">
        <f aca="true" t="shared" si="1" ref="I23:I32">+E23*C23</f>
        <v>7500</v>
      </c>
    </row>
    <row r="24" spans="1:9" ht="15.75">
      <c r="A24" t="s">
        <v>101</v>
      </c>
      <c r="B24" s="11">
        <v>200</v>
      </c>
      <c r="C24">
        <v>20</v>
      </c>
      <c r="D24" t="s">
        <v>43</v>
      </c>
      <c r="E24" s="11">
        <v>250</v>
      </c>
      <c r="F24" s="11"/>
      <c r="G24" s="13">
        <f t="shared" si="0"/>
        <v>4000</v>
      </c>
      <c r="H24" s="13"/>
      <c r="I24" s="13">
        <f t="shared" si="1"/>
        <v>5000</v>
      </c>
    </row>
    <row r="25" spans="1:9" ht="15.75">
      <c r="A25" t="s">
        <v>114</v>
      </c>
      <c r="B25" s="11">
        <v>1500</v>
      </c>
      <c r="C25">
        <v>15</v>
      </c>
      <c r="D25" t="s">
        <v>43</v>
      </c>
      <c r="E25" s="11">
        <v>2000</v>
      </c>
      <c r="F25" s="11"/>
      <c r="G25" s="13">
        <f t="shared" si="0"/>
        <v>22500</v>
      </c>
      <c r="H25" s="13"/>
      <c r="I25" s="13">
        <f t="shared" si="1"/>
        <v>30000</v>
      </c>
    </row>
    <row r="26" spans="1:9" ht="15.75">
      <c r="A26" t="s">
        <v>104</v>
      </c>
      <c r="B26" s="11">
        <v>150</v>
      </c>
      <c r="C26">
        <v>10</v>
      </c>
      <c r="D26" t="s">
        <v>43</v>
      </c>
      <c r="E26" s="11">
        <v>400</v>
      </c>
      <c r="F26" s="11"/>
      <c r="G26" s="13">
        <f>+B26*C26</f>
        <v>1500</v>
      </c>
      <c r="H26" s="13"/>
      <c r="I26" s="13">
        <f>+E26*C26</f>
        <v>4000</v>
      </c>
    </row>
    <row r="27" spans="1:9" ht="15.75">
      <c r="A27" t="s">
        <v>52</v>
      </c>
      <c r="B27" s="11">
        <v>350</v>
      </c>
      <c r="C27">
        <v>20</v>
      </c>
      <c r="D27" t="s">
        <v>43</v>
      </c>
      <c r="E27" s="11">
        <v>400</v>
      </c>
      <c r="F27" s="11"/>
      <c r="G27" s="13">
        <f t="shared" si="0"/>
        <v>7000</v>
      </c>
      <c r="H27" s="13"/>
      <c r="I27" s="13">
        <f t="shared" si="1"/>
        <v>8000</v>
      </c>
    </row>
    <row r="28" spans="1:9" ht="15.75">
      <c r="A28" t="s">
        <v>107</v>
      </c>
      <c r="B28" s="11">
        <v>300</v>
      </c>
      <c r="C28">
        <v>10</v>
      </c>
      <c r="E28" s="11">
        <v>400</v>
      </c>
      <c r="F28" s="11"/>
      <c r="G28" s="13">
        <f t="shared" si="0"/>
        <v>3000</v>
      </c>
      <c r="H28" s="13"/>
      <c r="I28" s="13">
        <f t="shared" si="1"/>
        <v>4000</v>
      </c>
    </row>
    <row r="29" spans="1:9" ht="15.75">
      <c r="A29" t="s">
        <v>53</v>
      </c>
      <c r="B29" s="11"/>
      <c r="C29">
        <v>4</v>
      </c>
      <c r="D29" t="s">
        <v>48</v>
      </c>
      <c r="E29" s="11">
        <v>100</v>
      </c>
      <c r="F29" s="11"/>
      <c r="G29" s="13">
        <f t="shared" si="0"/>
        <v>0</v>
      </c>
      <c r="H29" s="13"/>
      <c r="I29" s="13">
        <f t="shared" si="1"/>
        <v>400</v>
      </c>
    </row>
    <row r="30" spans="1:9" ht="15.75">
      <c r="A30" t="s">
        <v>54</v>
      </c>
      <c r="B30" s="11">
        <v>200</v>
      </c>
      <c r="C30">
        <v>10</v>
      </c>
      <c r="D30" t="s">
        <v>43</v>
      </c>
      <c r="E30" s="11">
        <v>300</v>
      </c>
      <c r="F30" s="11"/>
      <c r="G30" s="13">
        <f t="shared" si="0"/>
        <v>2000</v>
      </c>
      <c r="H30" s="13"/>
      <c r="I30" s="13">
        <f t="shared" si="1"/>
        <v>3000</v>
      </c>
    </row>
    <row r="31" spans="1:9" ht="15.75">
      <c r="A31" t="s">
        <v>49</v>
      </c>
      <c r="B31" s="11"/>
      <c r="C31">
        <v>4</v>
      </c>
      <c r="D31" t="s">
        <v>48</v>
      </c>
      <c r="E31" s="11">
        <v>150</v>
      </c>
      <c r="F31" s="11"/>
      <c r="G31" s="13">
        <f t="shared" si="0"/>
        <v>0</v>
      </c>
      <c r="H31" s="13"/>
      <c r="I31" s="13">
        <f t="shared" si="1"/>
        <v>600</v>
      </c>
    </row>
    <row r="32" spans="1:9" ht="15.75">
      <c r="A32" t="s">
        <v>55</v>
      </c>
      <c r="B32" s="11"/>
      <c r="C32">
        <v>4</v>
      </c>
      <c r="D32" t="s">
        <v>48</v>
      </c>
      <c r="E32" s="11">
        <v>150</v>
      </c>
      <c r="F32" s="11"/>
      <c r="G32" s="13">
        <f t="shared" si="0"/>
        <v>0</v>
      </c>
      <c r="H32" s="13"/>
      <c r="I32" s="13">
        <f t="shared" si="1"/>
        <v>600</v>
      </c>
    </row>
    <row r="33" spans="1:9" ht="15.75">
      <c r="A33" t="s">
        <v>44</v>
      </c>
      <c r="B33" s="11"/>
      <c r="E33" s="12"/>
      <c r="F33" s="11"/>
      <c r="G33" s="13">
        <f>+G34-SUM(G23:G32)</f>
        <v>500</v>
      </c>
      <c r="H33" s="13"/>
      <c r="I33" s="13">
        <f>+I34-SUM(I23:I32)</f>
        <v>900</v>
      </c>
    </row>
    <row r="34" spans="1:9" ht="15.75">
      <c r="A34" s="14" t="s">
        <v>56</v>
      </c>
      <c r="B34" s="15"/>
      <c r="C34" s="14"/>
      <c r="D34" s="14"/>
      <c r="E34" s="16"/>
      <c r="F34" s="15"/>
      <c r="G34" s="91">
        <f>ROUNDUP(SUM(G23:G32),-3)</f>
        <v>45000</v>
      </c>
      <c r="H34" s="91"/>
      <c r="I34" s="91">
        <f>ROUNDUP(SUM(I23:I32),-3)</f>
        <v>64000</v>
      </c>
    </row>
    <row r="35" spans="2:9" ht="15.75">
      <c r="B35" s="11"/>
      <c r="E35" s="12"/>
      <c r="F35" s="11"/>
      <c r="G35" s="13"/>
      <c r="H35" s="13"/>
      <c r="I35" s="13"/>
    </row>
    <row r="36" spans="1:9" ht="15.75">
      <c r="A36" s="1" t="s">
        <v>13</v>
      </c>
      <c r="B36" s="11"/>
      <c r="E36" s="12"/>
      <c r="F36" s="11"/>
      <c r="G36" s="13"/>
      <c r="H36" s="13"/>
      <c r="I36" s="13"/>
    </row>
    <row r="37" spans="1:9" ht="15.75">
      <c r="A37" t="s">
        <v>57</v>
      </c>
      <c r="B37" s="11"/>
      <c r="E37" s="12"/>
      <c r="F37" s="11"/>
      <c r="G37" s="13">
        <v>1000</v>
      </c>
      <c r="H37" s="13"/>
      <c r="I37" s="13">
        <v>1500</v>
      </c>
    </row>
    <row r="38" spans="1:9" ht="15.75">
      <c r="A38" t="s">
        <v>119</v>
      </c>
      <c r="B38" s="11">
        <v>2000</v>
      </c>
      <c r="C38">
        <v>3</v>
      </c>
      <c r="D38" t="s">
        <v>43</v>
      </c>
      <c r="E38" s="11">
        <v>5000</v>
      </c>
      <c r="F38" s="11"/>
      <c r="G38" s="13">
        <f>+B38*C38</f>
        <v>6000</v>
      </c>
      <c r="H38" s="13"/>
      <c r="I38" s="13">
        <f>+E38*C38</f>
        <v>15000</v>
      </c>
    </row>
    <row r="39" spans="1:9" ht="15.75">
      <c r="A39" t="s">
        <v>58</v>
      </c>
      <c r="B39" s="11"/>
      <c r="E39" s="12"/>
      <c r="F39" s="11"/>
      <c r="G39" s="13"/>
      <c r="H39" s="13"/>
      <c r="I39" s="13">
        <v>500</v>
      </c>
    </row>
    <row r="40" spans="1:9" ht="15.75">
      <c r="A40" t="s">
        <v>44</v>
      </c>
      <c r="B40" s="11"/>
      <c r="E40" s="12"/>
      <c r="F40" s="11"/>
      <c r="G40" s="13">
        <f>G41-SUM(G37:G39)</f>
        <v>0</v>
      </c>
      <c r="H40" s="13"/>
      <c r="I40" s="13">
        <f>I41-SUM(I37:I39)</f>
        <v>0</v>
      </c>
    </row>
    <row r="41" spans="1:9" ht="15.75">
      <c r="A41" s="14" t="s">
        <v>59</v>
      </c>
      <c r="B41" s="15"/>
      <c r="C41" s="14"/>
      <c r="D41" s="14"/>
      <c r="E41" s="16"/>
      <c r="F41" s="15"/>
      <c r="G41" s="17">
        <f>ROUNDUP(SUM(G37:G39),-2)</f>
        <v>7000</v>
      </c>
      <c r="H41" s="17"/>
      <c r="I41" s="17">
        <f>ROUNDUP(SUM(I37:I39),-3)</f>
        <v>17000</v>
      </c>
    </row>
    <row r="42" spans="2:9" ht="15.75">
      <c r="B42" s="11"/>
      <c r="E42" s="12"/>
      <c r="F42" s="11"/>
      <c r="G42" s="13"/>
      <c r="H42" s="13"/>
      <c r="I42" s="13"/>
    </row>
    <row r="43" spans="1:9" ht="15.75">
      <c r="A43" s="1" t="s">
        <v>60</v>
      </c>
      <c r="B43" s="11"/>
      <c r="E43" s="12"/>
      <c r="F43" s="11"/>
      <c r="G43" s="13"/>
      <c r="H43" s="13"/>
      <c r="I43" s="13"/>
    </row>
    <row r="44" spans="1:9" ht="15.75">
      <c r="A44" t="s">
        <v>68</v>
      </c>
      <c r="B44" s="11">
        <v>0</v>
      </c>
      <c r="C44">
        <v>60</v>
      </c>
      <c r="D44" t="s">
        <v>43</v>
      </c>
      <c r="E44" s="11">
        <v>400</v>
      </c>
      <c r="F44" s="11"/>
      <c r="G44" s="13">
        <f>+B44*C44</f>
        <v>0</v>
      </c>
      <c r="H44" s="13"/>
      <c r="I44" s="13">
        <f>+E44*C44</f>
        <v>24000</v>
      </c>
    </row>
    <row r="45" spans="1:9" ht="15.75">
      <c r="A45" t="s">
        <v>115</v>
      </c>
      <c r="B45" s="11"/>
      <c r="E45" s="12"/>
      <c r="F45" s="11"/>
      <c r="G45" s="13"/>
      <c r="H45" s="13"/>
      <c r="I45" s="13">
        <v>1000</v>
      </c>
    </row>
    <row r="46" spans="1:9" ht="15.75">
      <c r="A46" t="s">
        <v>116</v>
      </c>
      <c r="B46" s="11"/>
      <c r="E46" s="12"/>
      <c r="F46" s="11"/>
      <c r="G46" s="13"/>
      <c r="H46" s="13"/>
      <c r="I46" s="13">
        <v>1000</v>
      </c>
    </row>
    <row r="47" spans="1:9" ht="15.75">
      <c r="A47" t="s">
        <v>99</v>
      </c>
      <c r="B47" s="11"/>
      <c r="E47" s="12"/>
      <c r="F47" s="11"/>
      <c r="G47" s="13"/>
      <c r="H47" s="13"/>
      <c r="I47" s="13">
        <v>2000</v>
      </c>
    </row>
    <row r="48" spans="1:9" ht="15.75">
      <c r="A48" t="s">
        <v>117</v>
      </c>
      <c r="B48" s="11"/>
      <c r="E48" s="12"/>
      <c r="F48" s="11"/>
      <c r="G48" s="13"/>
      <c r="H48" s="13"/>
      <c r="I48" s="13">
        <v>1000</v>
      </c>
    </row>
    <row r="49" spans="1:9" ht="15.75">
      <c r="A49" t="s">
        <v>120</v>
      </c>
      <c r="B49" s="11"/>
      <c r="E49" s="11"/>
      <c r="F49" s="11"/>
      <c r="G49" s="13"/>
      <c r="H49" s="13"/>
      <c r="I49" s="13">
        <v>10000</v>
      </c>
    </row>
    <row r="50" spans="1:9" ht="15.75">
      <c r="A50" t="s">
        <v>26</v>
      </c>
      <c r="B50" s="11"/>
      <c r="E50" s="12"/>
      <c r="F50" s="11"/>
      <c r="G50" s="13"/>
      <c r="H50" s="13"/>
      <c r="I50" s="13">
        <v>1000</v>
      </c>
    </row>
    <row r="51" spans="1:9" ht="15.75">
      <c r="A51" t="s">
        <v>44</v>
      </c>
      <c r="B51" s="11"/>
      <c r="E51" s="12"/>
      <c r="F51" s="11"/>
      <c r="G51" s="13">
        <f>+G52-SUM(G44:G50)</f>
        <v>0</v>
      </c>
      <c r="H51" s="13"/>
      <c r="I51" s="13">
        <f>+I52-SUM(I44:I50)</f>
        <v>0</v>
      </c>
    </row>
    <row r="52" spans="1:9" ht="15.75">
      <c r="A52" s="14" t="s">
        <v>60</v>
      </c>
      <c r="B52" s="15"/>
      <c r="C52" s="14"/>
      <c r="D52" s="14"/>
      <c r="E52" s="16"/>
      <c r="F52" s="15"/>
      <c r="G52" s="17">
        <f>ROUNDUP(SUM(G44:G50),-3)</f>
        <v>0</v>
      </c>
      <c r="H52" s="17"/>
      <c r="I52" s="17">
        <f>ROUNDUP(SUM(I44:I50),-2)</f>
        <v>40000</v>
      </c>
    </row>
    <row r="53" spans="2:9" ht="15.75">
      <c r="B53" s="11"/>
      <c r="E53" s="12"/>
      <c r="F53" s="11"/>
      <c r="G53" s="13"/>
      <c r="H53" s="13"/>
      <c r="I53" s="13"/>
    </row>
    <row r="54" spans="1:9" ht="15.75">
      <c r="A54" s="1" t="s">
        <v>61</v>
      </c>
      <c r="B54" s="11"/>
      <c r="E54" s="12"/>
      <c r="F54" s="11"/>
      <c r="G54" s="13"/>
      <c r="H54" s="13"/>
      <c r="I54" s="13"/>
    </row>
    <row r="55" spans="1:9" ht="15.75">
      <c r="A55" t="s">
        <v>62</v>
      </c>
      <c r="B55" s="11"/>
      <c r="C55">
        <v>0</v>
      </c>
      <c r="E55" s="12"/>
      <c r="F55" s="11"/>
      <c r="G55" s="13">
        <f>+B55*C55</f>
        <v>0</v>
      </c>
      <c r="H55" s="13"/>
      <c r="I55" s="13">
        <f>+B55*C55</f>
        <v>0</v>
      </c>
    </row>
    <row r="56" spans="1:9" ht="15.75">
      <c r="A56" t="s">
        <v>63</v>
      </c>
      <c r="B56" s="11"/>
      <c r="C56">
        <v>0</v>
      </c>
      <c r="E56" s="12"/>
      <c r="F56" s="11"/>
      <c r="G56" s="13">
        <f>-B56*C56</f>
        <v>0</v>
      </c>
      <c r="H56" s="13"/>
      <c r="I56" s="13">
        <f>-B56*C56</f>
        <v>0</v>
      </c>
    </row>
    <row r="57" spans="1:9" ht="15.75">
      <c r="A57" t="s">
        <v>64</v>
      </c>
      <c r="B57" s="11"/>
      <c r="C57">
        <v>0</v>
      </c>
      <c r="E57" s="12"/>
      <c r="F57" s="11"/>
      <c r="G57" s="13">
        <f>+B57*C57</f>
        <v>0</v>
      </c>
      <c r="H57" s="13"/>
      <c r="I57" s="13">
        <f>+B57*C57</f>
        <v>0</v>
      </c>
    </row>
    <row r="58" spans="1:9" ht="15.75">
      <c r="A58" t="s">
        <v>65</v>
      </c>
      <c r="B58" s="11"/>
      <c r="C58">
        <v>0</v>
      </c>
      <c r="E58" s="81"/>
      <c r="F58" s="11"/>
      <c r="G58" s="13">
        <f>+B58*C58</f>
        <v>0</v>
      </c>
      <c r="H58" s="13"/>
      <c r="I58" s="13">
        <f>+E58*C58</f>
        <v>0</v>
      </c>
    </row>
    <row r="59" spans="1:9" ht="15.75">
      <c r="A59" t="s">
        <v>66</v>
      </c>
      <c r="B59" s="11"/>
      <c r="E59" s="12"/>
      <c r="F59" s="11"/>
      <c r="G59" s="13">
        <f>+G60-SUM(G55:G58)</f>
        <v>0</v>
      </c>
      <c r="H59" s="13">
        <f>+H60-SUM(H55:H58)</f>
        <v>0</v>
      </c>
      <c r="I59" s="13">
        <f>+I60-SUM(I55:I58)</f>
        <v>0</v>
      </c>
    </row>
    <row r="60" spans="1:9" ht="15.75">
      <c r="A60" s="14" t="s">
        <v>67</v>
      </c>
      <c r="B60" s="15"/>
      <c r="C60" s="14"/>
      <c r="D60" s="14"/>
      <c r="E60" s="16"/>
      <c r="F60" s="15"/>
      <c r="G60" s="17">
        <f>ROUNDUP(SUM(G55:G58),-3)</f>
        <v>0</v>
      </c>
      <c r="H60" s="17"/>
      <c r="I60" s="17">
        <f>ROUNDUP(SUM(I55:I58),-3)</f>
        <v>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G7" sqref="G7"/>
    </sheetView>
  </sheetViews>
  <sheetFormatPr defaultColWidth="11.00390625" defaultRowHeight="15.75"/>
  <cols>
    <col min="1" max="1" width="22.00390625" style="0" bestFit="1" customWidth="1"/>
    <col min="2" max="2" width="4.875" style="0" customWidth="1"/>
    <col min="3" max="3" width="7.50390625" style="0" customWidth="1"/>
    <col min="4" max="4" width="7.375" style="0" customWidth="1"/>
    <col min="5" max="5" width="9.00390625" style="0" customWidth="1"/>
    <col min="6" max="6" width="19.50390625" style="0" bestFit="1" customWidth="1"/>
    <col min="7" max="7" width="7.75390625" style="0" bestFit="1" customWidth="1"/>
    <col min="8" max="8" width="7.125" style="0" customWidth="1"/>
    <col min="9" max="9" width="6.375" style="0" customWidth="1"/>
    <col min="10" max="16384" width="9.00390625" style="0" customWidth="1"/>
  </cols>
  <sheetData>
    <row r="1" spans="1:9" ht="16.5" thickBot="1">
      <c r="A1" s="53" t="s">
        <v>69</v>
      </c>
      <c r="B1" s="7"/>
      <c r="C1" s="7"/>
      <c r="D1" s="7"/>
      <c r="E1" s="7"/>
      <c r="F1" s="7"/>
      <c r="G1" s="7"/>
      <c r="H1" s="7"/>
      <c r="I1" s="7"/>
    </row>
    <row r="2" spans="3:9" ht="15.75">
      <c r="C2" s="54" t="s">
        <v>7</v>
      </c>
      <c r="D2">
        <v>15</v>
      </c>
      <c r="F2" s="55"/>
      <c r="G2" s="56" t="s">
        <v>70</v>
      </c>
      <c r="H2" s="56" t="s">
        <v>105</v>
      </c>
      <c r="I2" s="57" t="s">
        <v>71</v>
      </c>
    </row>
    <row r="3" spans="1:9" ht="15.75">
      <c r="A3" t="s">
        <v>72</v>
      </c>
      <c r="C3" s="54" t="s">
        <v>9</v>
      </c>
      <c r="D3">
        <v>20</v>
      </c>
      <c r="F3" s="58" t="s">
        <v>73</v>
      </c>
      <c r="G3" s="59">
        <f>+D8-D6</f>
        <v>75</v>
      </c>
      <c r="H3" s="59">
        <f>+D6</f>
        <v>10</v>
      </c>
      <c r="I3" s="59">
        <f>+G3+H3</f>
        <v>85</v>
      </c>
    </row>
    <row r="4" spans="3:9" ht="15.75">
      <c r="C4" s="54" t="s">
        <v>11</v>
      </c>
      <c r="D4">
        <v>30</v>
      </c>
      <c r="F4" s="60" t="s">
        <v>74</v>
      </c>
      <c r="G4" s="61">
        <v>0</v>
      </c>
      <c r="H4" s="61">
        <v>-360</v>
      </c>
      <c r="I4" s="62">
        <f>+G4*G3+H4*H3</f>
        <v>-3600</v>
      </c>
    </row>
    <row r="5" spans="3:9" ht="15.75">
      <c r="C5" s="54" t="s">
        <v>75</v>
      </c>
      <c r="D5">
        <v>5</v>
      </c>
      <c r="F5" s="60" t="s">
        <v>76</v>
      </c>
      <c r="G5" s="61">
        <v>0</v>
      </c>
      <c r="H5" s="61">
        <v>-180</v>
      </c>
      <c r="I5" s="62">
        <f>+G5*G3+H5*H3</f>
        <v>-1800</v>
      </c>
    </row>
    <row r="6" spans="3:9" ht="15.75">
      <c r="C6" s="54" t="s">
        <v>77</v>
      </c>
      <c r="D6">
        <v>10</v>
      </c>
      <c r="F6" s="60" t="s">
        <v>78</v>
      </c>
      <c r="G6" s="61">
        <v>110</v>
      </c>
      <c r="H6" s="61">
        <v>0</v>
      </c>
      <c r="I6" s="62">
        <f>ROUNDDOWN(G6*G3+H6*H3,0)</f>
        <v>8250</v>
      </c>
    </row>
    <row r="7" spans="3:9" ht="16.5" thickBot="1">
      <c r="C7" s="63" t="s">
        <v>79</v>
      </c>
      <c r="D7" s="3">
        <v>5</v>
      </c>
      <c r="F7" s="64" t="s">
        <v>80</v>
      </c>
      <c r="G7" s="65">
        <f>ROUND(SUM(G4:G6)*G3,G9)</f>
        <v>8000</v>
      </c>
      <c r="H7" s="65">
        <f>SUM(H4:H6)*H3</f>
        <v>-5400</v>
      </c>
      <c r="I7" s="66">
        <f>SUM(I4:I6)</f>
        <v>2850</v>
      </c>
    </row>
    <row r="8" spans="1:4" ht="15.75">
      <c r="A8" s="2"/>
      <c r="B8" s="2"/>
      <c r="C8" s="63" t="s">
        <v>71</v>
      </c>
      <c r="D8" s="3">
        <f>SUM(D2:D7)</f>
        <v>85</v>
      </c>
    </row>
    <row r="9" ht="16.5" thickBot="1">
      <c r="G9">
        <v>-3</v>
      </c>
    </row>
    <row r="10" spans="1:9" ht="16.5" thickTop="1">
      <c r="A10" s="80"/>
      <c r="B10" s="80"/>
      <c r="C10" s="80"/>
      <c r="D10" s="80"/>
      <c r="E10" s="80"/>
      <c r="F10" s="80"/>
      <c r="G10" s="80"/>
      <c r="H10" s="80"/>
      <c r="I10" s="80"/>
    </row>
    <row r="11" ht="15.75">
      <c r="A11" s="71" t="s">
        <v>84</v>
      </c>
    </row>
    <row r="12" spans="1:5" ht="15.75">
      <c r="A12" s="41"/>
      <c r="B12" s="23" t="s">
        <v>73</v>
      </c>
      <c r="C12" s="23" t="s">
        <v>81</v>
      </c>
      <c r="D12" s="23" t="s">
        <v>82</v>
      </c>
      <c r="E12" s="67" t="s">
        <v>83</v>
      </c>
    </row>
    <row r="13" spans="1:5" ht="15.75">
      <c r="A13" s="4" t="s">
        <v>7</v>
      </c>
      <c r="B13" s="23">
        <f>+D2</f>
        <v>15</v>
      </c>
      <c r="C13" s="68">
        <v>160</v>
      </c>
      <c r="D13" s="68">
        <v>1000</v>
      </c>
      <c r="E13" s="67">
        <f>+B13*C13+D13</f>
        <v>3400</v>
      </c>
    </row>
    <row r="14" spans="1:5" ht="15.75">
      <c r="A14" s="4" t="s">
        <v>9</v>
      </c>
      <c r="B14" s="23">
        <f>+D3</f>
        <v>20</v>
      </c>
      <c r="C14" s="68">
        <v>250</v>
      </c>
      <c r="D14" s="68">
        <v>1000</v>
      </c>
      <c r="E14" s="67">
        <f>+B14*C14+D14</f>
        <v>6000</v>
      </c>
    </row>
    <row r="15" spans="1:5" ht="15.75">
      <c r="A15" s="4" t="s">
        <v>11</v>
      </c>
      <c r="B15" s="23">
        <f>+D4</f>
        <v>30</v>
      </c>
      <c r="C15" s="68">
        <v>250</v>
      </c>
      <c r="D15" s="68">
        <v>1000</v>
      </c>
      <c r="E15" s="67">
        <f>+B15*C15+D15</f>
        <v>8500</v>
      </c>
    </row>
    <row r="16" spans="1:5" ht="15.75">
      <c r="A16" s="4" t="s">
        <v>13</v>
      </c>
      <c r="B16" s="23">
        <f>+D5</f>
        <v>5</v>
      </c>
      <c r="C16" s="68">
        <v>100</v>
      </c>
      <c r="D16" s="68">
        <v>500</v>
      </c>
      <c r="E16" s="67">
        <f>+B16*C16+D16</f>
        <v>1000</v>
      </c>
    </row>
    <row r="17" spans="1:5" ht="15.75">
      <c r="A17" s="30" t="s">
        <v>15</v>
      </c>
      <c r="B17" s="30"/>
      <c r="C17" s="69"/>
      <c r="D17" s="69">
        <v>5000</v>
      </c>
      <c r="E17" s="70">
        <f>+B17*C17+D17</f>
        <v>5000</v>
      </c>
    </row>
    <row r="18" spans="1:5" ht="15.75">
      <c r="A18" s="4" t="s">
        <v>16</v>
      </c>
      <c r="B18" s="23"/>
      <c r="C18" s="23"/>
      <c r="D18" s="23"/>
      <c r="E18" s="67">
        <f>SUM(E13:E17)</f>
        <v>23900</v>
      </c>
    </row>
    <row r="19" ht="16.5" thickBot="1"/>
    <row r="20" spans="1:9" ht="16.5" thickTop="1">
      <c r="A20" s="80"/>
      <c r="B20" s="80"/>
      <c r="C20" s="80"/>
      <c r="D20" s="80"/>
      <c r="E20" s="80"/>
      <c r="F20" s="80"/>
      <c r="G20" s="80"/>
      <c r="H20" s="80"/>
      <c r="I20" s="80"/>
    </row>
    <row r="22" spans="1:4" ht="15.75">
      <c r="A22" s="2" t="s">
        <v>19</v>
      </c>
      <c r="B22" s="7"/>
      <c r="C22" s="7"/>
      <c r="D22" s="7"/>
    </row>
    <row r="24" spans="1:5" ht="15.75">
      <c r="A24" t="s">
        <v>112</v>
      </c>
      <c r="E24" s="13">
        <v>30000</v>
      </c>
    </row>
    <row r="25" spans="1:5" ht="15.75">
      <c r="A25" t="s">
        <v>113</v>
      </c>
      <c r="E25" s="13">
        <v>0</v>
      </c>
    </row>
    <row r="26" spans="1:5" ht="15.75">
      <c r="A26" t="s">
        <v>93</v>
      </c>
      <c r="E26" s="13">
        <v>0</v>
      </c>
    </row>
    <row r="27" spans="1:5" ht="15.75">
      <c r="A27" s="3" t="s">
        <v>85</v>
      </c>
      <c r="B27" s="3"/>
      <c r="C27" s="3"/>
      <c r="D27" s="3"/>
      <c r="E27" s="3">
        <v>0</v>
      </c>
    </row>
    <row r="28" spans="1:5" ht="15.75">
      <c r="A28" t="s">
        <v>86</v>
      </c>
      <c r="E28" s="72">
        <f>SUM(E24:E27)</f>
        <v>30000</v>
      </c>
    </row>
    <row r="29" ht="16.5" thickBot="1"/>
    <row r="30" spans="1:9" ht="16.5" thickTop="1">
      <c r="A30" s="80"/>
      <c r="B30" s="80"/>
      <c r="C30" s="80"/>
      <c r="D30" s="80"/>
      <c r="E30" s="80"/>
      <c r="F30" s="80"/>
      <c r="G30" s="80"/>
      <c r="H30" s="80"/>
      <c r="I30" s="80"/>
    </row>
    <row r="31" spans="1:3" ht="15.75">
      <c r="A31" s="5" t="s">
        <v>87</v>
      </c>
      <c r="B31" s="7"/>
      <c r="C31" s="7"/>
    </row>
    <row r="32" spans="1:3" ht="15.75">
      <c r="A32" t="s">
        <v>88</v>
      </c>
      <c r="C32" s="13">
        <v>5000</v>
      </c>
    </row>
    <row r="33" spans="1:3" ht="15.75">
      <c r="A33" t="s">
        <v>89</v>
      </c>
      <c r="C33" s="13">
        <v>5000</v>
      </c>
    </row>
    <row r="34" spans="1:3" ht="15.75">
      <c r="A34" t="s">
        <v>90</v>
      </c>
      <c r="C34" s="13">
        <v>0</v>
      </c>
    </row>
    <row r="35" spans="1:3" ht="15.75">
      <c r="A35" t="s">
        <v>91</v>
      </c>
      <c r="C35" s="13">
        <v>4000</v>
      </c>
    </row>
    <row r="36" spans="1:3" ht="15.75">
      <c r="A36" t="s">
        <v>108</v>
      </c>
      <c r="C36" s="13"/>
    </row>
    <row r="37" spans="1:3" ht="15.75">
      <c r="A37" t="s">
        <v>109</v>
      </c>
      <c r="C37" s="13"/>
    </row>
    <row r="39" ht="15.75">
      <c r="C39" s="13"/>
    </row>
    <row r="40" spans="1:3" ht="15.75">
      <c r="A40" t="s">
        <v>44</v>
      </c>
      <c r="C40" s="13">
        <f>+C41-SUM(C32:C39)</f>
        <v>0</v>
      </c>
    </row>
    <row r="41" spans="1:3" ht="15.75">
      <c r="A41" s="14" t="s">
        <v>92</v>
      </c>
      <c r="B41" s="14"/>
      <c r="C41" s="17">
        <f>ROUND(SUM(C32:C39),-3)</f>
        <v>14000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Gruppens budsjett for 2006</dc:title>
  <dc:subject/>
  <dc:creator/>
  <cp:keywords/>
  <dc:description/>
  <cp:lastModifiedBy>Morten</cp:lastModifiedBy>
  <cp:lastPrinted>1999-10-31T16:18:37Z</cp:lastPrinted>
  <dcterms:created xsi:type="dcterms:W3CDTF">1999-10-31T12:15:37Z</dcterms:created>
  <dcterms:modified xsi:type="dcterms:W3CDTF">2006-06-08T19:15:47Z</dcterms:modified>
  <cp:category/>
  <cp:version/>
  <cp:contentType/>
  <cp:contentStatus/>
</cp:coreProperties>
</file>